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19440" windowHeight="15150" tabRatio="56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Лист1!$A$1:$L$72</definedName>
  </definedNames>
  <calcPr calcId="145621"/>
</workbook>
</file>

<file path=xl/calcChain.xml><?xml version="1.0" encoding="utf-8"?>
<calcChain xmlns="http://schemas.openxmlformats.org/spreadsheetml/2006/main">
  <c r="D29" i="1" l="1"/>
  <c r="I29" i="1" s="1"/>
  <c r="C43" i="1"/>
  <c r="C29" i="1" s="1"/>
  <c r="C20" i="1"/>
  <c r="C8" i="1" s="1"/>
  <c r="C15" i="1"/>
  <c r="C35" i="1"/>
  <c r="C7" i="1"/>
  <c r="D7" i="1" s="1"/>
  <c r="C6" i="1"/>
  <c r="D8" i="1"/>
  <c r="D6" i="1"/>
  <c r="C16" i="1" l="1"/>
  <c r="D35" i="1" l="1"/>
  <c r="D60" i="1"/>
  <c r="C63" i="1"/>
  <c r="D55" i="1" l="1"/>
  <c r="D58" i="1"/>
  <c r="D54" i="1"/>
  <c r="D56" i="1"/>
  <c r="D24" i="1"/>
  <c r="I8" i="1" l="1"/>
  <c r="D39" i="1" l="1"/>
  <c r="C23" i="1"/>
  <c r="D23" i="1" s="1"/>
  <c r="C60" i="1"/>
  <c r="D42" i="1"/>
  <c r="D10" i="1"/>
  <c r="E10" i="1"/>
  <c r="F10" i="1"/>
  <c r="G10" i="1"/>
  <c r="H10" i="1"/>
  <c r="E63" i="1"/>
  <c r="E65" i="1"/>
  <c r="I23" i="1" l="1"/>
  <c r="C51" i="1"/>
  <c r="C55" i="1" s="1"/>
  <c r="I7" i="1"/>
  <c r="I6" i="1"/>
  <c r="E37" i="1"/>
  <c r="D41" i="1"/>
  <c r="E20" i="1"/>
  <c r="C56" i="1" l="1"/>
  <c r="C58" i="1"/>
  <c r="C54" i="1"/>
  <c r="C53" i="1"/>
  <c r="E23" i="1"/>
  <c r="E42" i="1"/>
  <c r="E41" i="1"/>
  <c r="E39" i="1"/>
  <c r="E6" i="1"/>
  <c r="E24" i="1" l="1"/>
  <c r="E7" i="1"/>
  <c r="E16" i="1"/>
  <c r="E15" i="1" s="1"/>
  <c r="D43" i="1"/>
  <c r="H65" i="1"/>
  <c r="G65" i="1"/>
  <c r="F65" i="1"/>
  <c r="I65" i="1"/>
  <c r="H64" i="1"/>
  <c r="G64" i="1"/>
  <c r="F64" i="1"/>
  <c r="I64" i="1"/>
  <c r="H63" i="1"/>
  <c r="G63" i="1"/>
  <c r="F63" i="1"/>
  <c r="I63" i="1"/>
  <c r="H62" i="1"/>
  <c r="G62" i="1"/>
  <c r="F62" i="1"/>
  <c r="E62" i="1"/>
  <c r="E60" i="1" s="1"/>
  <c r="D62" i="1"/>
  <c r="I50" i="1"/>
  <c r="I49" i="1"/>
  <c r="I48" i="1"/>
  <c r="I47" i="1"/>
  <c r="I46" i="1"/>
  <c r="I45" i="1"/>
  <c r="H35" i="1"/>
  <c r="H29" i="1" s="1"/>
  <c r="G35" i="1"/>
  <c r="G29" i="1" s="1"/>
  <c r="F35" i="1"/>
  <c r="F29" i="1" s="1"/>
  <c r="I32" i="1"/>
  <c r="I31" i="1"/>
  <c r="H15" i="1"/>
  <c r="H8" i="1" s="1"/>
  <c r="G15" i="1"/>
  <c r="G8" i="1" s="1"/>
  <c r="F15" i="1"/>
  <c r="F8" i="1" s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B5" i="1"/>
  <c r="E5" i="1" s="1"/>
  <c r="F5" i="1" s="1"/>
  <c r="G5" i="1" s="1"/>
  <c r="B1" i="1"/>
  <c r="E43" i="1" l="1"/>
  <c r="E8" i="1"/>
  <c r="H60" i="1"/>
  <c r="H56" i="1" s="1"/>
  <c r="F51" i="1"/>
  <c r="H51" i="1"/>
  <c r="G51" i="1"/>
  <c r="G60" i="1"/>
  <c r="G55" i="1" s="1"/>
  <c r="F60" i="1"/>
  <c r="F56" i="1" s="1"/>
  <c r="I62" i="1"/>
  <c r="E35" i="1" l="1"/>
  <c r="E29" i="1" s="1"/>
  <c r="E51" i="1" s="1"/>
  <c r="E54" i="1" s="1"/>
  <c r="H54" i="1"/>
  <c r="H55" i="1"/>
  <c r="F55" i="1"/>
  <c r="G54" i="1"/>
  <c r="G53" i="1"/>
  <c r="G58" i="1"/>
  <c r="H58" i="1"/>
  <c r="G56" i="1"/>
  <c r="H53" i="1"/>
  <c r="F54" i="1"/>
  <c r="F53" i="1"/>
  <c r="F58" i="1"/>
  <c r="I58" i="1"/>
  <c r="I60" i="1"/>
  <c r="D51" i="1" l="1"/>
  <c r="I51" i="1" s="1"/>
  <c r="E53" i="1"/>
  <c r="E55" i="1"/>
  <c r="E56" i="1"/>
  <c r="E58" i="1"/>
  <c r="D53" i="1" l="1"/>
</calcChain>
</file>

<file path=xl/sharedStrings.xml><?xml version="1.0" encoding="utf-8"?>
<sst xmlns="http://schemas.openxmlformats.org/spreadsheetml/2006/main" count="99" uniqueCount="85">
  <si>
    <t>Таблица № П1.18.</t>
  </si>
  <si>
    <t>Калькуляция себестоимости передачи электрической энергии</t>
  </si>
  <si>
    <t>тыс. руб.</t>
  </si>
  <si>
    <t>№ п.п.</t>
  </si>
  <si>
    <t>Калькуляционные статьи затрат</t>
  </si>
  <si>
    <t>2023 год предложение организации</t>
  </si>
  <si>
    <t>2024од предложение организации</t>
  </si>
  <si>
    <t>2025 год предложение организации</t>
  </si>
  <si>
    <t>Рост, %</t>
  </si>
  <si>
    <t>1.</t>
  </si>
  <si>
    <t>Фонд оплаты труда производственных рабочих</t>
  </si>
  <si>
    <t>2.</t>
  </si>
  <si>
    <t>Страховые взносы социального характера</t>
  </si>
  <si>
    <t>3.</t>
  </si>
  <si>
    <t>Расходы по содержанию и эксплуатации оборудования</t>
  </si>
  <si>
    <t xml:space="preserve">    в том числе:</t>
  </si>
  <si>
    <t>3.1.</t>
  </si>
  <si>
    <t>амортизация производственного оборудования</t>
  </si>
  <si>
    <t>ВН</t>
  </si>
  <si>
    <t>СН1</t>
  </si>
  <si>
    <t>СН2</t>
  </si>
  <si>
    <t>НН</t>
  </si>
  <si>
    <t>3.2.</t>
  </si>
  <si>
    <t>ремонт производственного оборудования</t>
  </si>
  <si>
    <t>в т.ч. услуги подрядных организаций</t>
  </si>
  <si>
    <t>хозспособ</t>
  </si>
  <si>
    <t>3.3.</t>
  </si>
  <si>
    <t>услуги подрядных организаций по техобслуживанию и эксплуатации оборудования</t>
  </si>
  <si>
    <t>3.4.</t>
  </si>
  <si>
    <t>другие расходы по содержанию и эксплуатации оборудования</t>
  </si>
  <si>
    <t>в т.ч. вспомогательные материалы</t>
  </si>
  <si>
    <t>транспортные услуги</t>
  </si>
  <si>
    <t>4.</t>
  </si>
  <si>
    <t>Расходы по подготовке и освоению производства (пусковые работы)</t>
  </si>
  <si>
    <t>5.</t>
  </si>
  <si>
    <t>Прочие прямые расходы, в том числе</t>
  </si>
  <si>
    <t>аренда производственного оборудования</t>
  </si>
  <si>
    <t>в том числе амортизация у арендодателя</t>
  </si>
  <si>
    <t>лизинг</t>
  </si>
  <si>
    <t>6.</t>
  </si>
  <si>
    <t>Цеховые (общепроизводственные) расходы</t>
  </si>
  <si>
    <t>7.</t>
  </si>
  <si>
    <t>Общехозяйственные расходы</t>
  </si>
  <si>
    <t xml:space="preserve">    всего в том числе:</t>
  </si>
  <si>
    <t>7.1.</t>
  </si>
  <si>
    <t>7.2.</t>
  </si>
  <si>
    <t>7.3.</t>
  </si>
  <si>
    <t>Плата за предельно допустимые выбросы (сбросы) загрязняющих вещетв</t>
  </si>
  <si>
    <t>7.4.</t>
  </si>
  <si>
    <t>Отчисления в ремонтный фонд в случае его формирования</t>
  </si>
  <si>
    <t>7.5.</t>
  </si>
  <si>
    <t>Непроизводственные расходы (налоги и другие обязательные платежи и сборы) всего</t>
  </si>
  <si>
    <t xml:space="preserve">обучение </t>
  </si>
  <si>
    <t>7.6.</t>
  </si>
  <si>
    <t>Другие затраты, относимые на себестоимость продукции всего</t>
  </si>
  <si>
    <t>8.</t>
  </si>
  <si>
    <t>Недополученный по независящим причинам доход</t>
  </si>
  <si>
    <t>9.</t>
  </si>
  <si>
    <t>Избыток средств, полученный в предыдущем периоде регулирования</t>
  </si>
  <si>
    <t>10.</t>
  </si>
  <si>
    <t xml:space="preserve">Итого производственные расходы </t>
  </si>
  <si>
    <t>11.</t>
  </si>
  <si>
    <t>расходы на 1 у. е. (тыс. руб.)</t>
  </si>
  <si>
    <t>Справочно</t>
  </si>
  <si>
    <t>12.</t>
  </si>
  <si>
    <t>Всего условных единиц оборудования</t>
  </si>
  <si>
    <t xml:space="preserve">Генеральный директор </t>
  </si>
  <si>
    <t>________________________ Архипенко Д.В.</t>
  </si>
  <si>
    <t>Поверка</t>
  </si>
  <si>
    <t>Прочие</t>
  </si>
  <si>
    <t>связь</t>
  </si>
  <si>
    <t>прочие  (поверка, связь, тбо)</t>
  </si>
  <si>
    <t>аренда офиса</t>
  </si>
  <si>
    <t>Юридические, консульт, услуги, пошлина</t>
  </si>
  <si>
    <t>налог на доход</t>
  </si>
  <si>
    <t xml:space="preserve">6 мес 2023 год факт </t>
  </si>
  <si>
    <t xml:space="preserve">2024 ожидаемое </t>
  </si>
  <si>
    <t>осв 20.01 ЭлподстОплататруда</t>
  </si>
  <si>
    <t>осв 20.01 ЭлэнергияРемонтраб 661,94 в карточке 269,537</t>
  </si>
  <si>
    <t>осв 26 СписаниеМатериалов (548,24+1,3+1,68)*0,2885=159,027</t>
  </si>
  <si>
    <t>осв 20.01 Элэнергия Поверка 3,96; Обучение 7,5; ОбслуживаниеЭЭ Поверка 1,3</t>
  </si>
  <si>
    <t>осв 20.01 Элэнергия Аренда</t>
  </si>
  <si>
    <t>осв 20.01 Дирекция Оплата больничн.</t>
  </si>
  <si>
    <t>осв 26 Элподстанция СписаниеМат 5,52+2,05</t>
  </si>
  <si>
    <t>осв 20.01 Дирекция Связь; осв 26 АХО вывоз мус. 2,50; осв 26 Мед осм. 35,5+Обучение 3,7+Почта 0,23 =35,5+3,7+0,23*0,2885=11,376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</si>
</sst>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9"/>
      <name val="Tahoma"/>
      <family val="2"/>
      <charset val="204"/>
    </font>
    <font>
      <b/>
      <sz val="11"/>
      <name val="Tahoma"/>
      <family val="2"/>
      <charset val="204"/>
    </font>
    <font>
      <b/>
      <sz val="16"/>
      <name val="Tahoma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Tahoma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4" fontId="6" fillId="2" borderId="2" applyBorder="0">
      <alignment horizontal="right"/>
    </xf>
    <xf numFmtId="4" fontId="6" fillId="3" borderId="4" applyBorder="0">
      <alignment horizontal="right"/>
    </xf>
    <xf numFmtId="4" fontId="6" fillId="3" borderId="0" applyFont="0" applyBorder="0">
      <alignment horizontal="right"/>
    </xf>
  </cellStyleXfs>
  <cellXfs count="52">
    <xf numFmtId="0" fontId="0" fillId="0" borderId="0" xfId="0"/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0" fontId="4" fillId="0" borderId="2" xfId="2" applyFont="1" applyBorder="1">
      <alignment horizontal="center" vertical="center" wrapText="1"/>
    </xf>
    <xf numFmtId="49" fontId="5" fillId="0" borderId="2" xfId="0" applyNumberFormat="1" applyFont="1" applyBorder="1" applyAlignment="1">
      <alignment vertical="top"/>
    </xf>
    <xf numFmtId="4" fontId="5" fillId="2" borderId="2" xfId="3" applyFont="1" applyBorder="1">
      <alignment horizontal="right"/>
    </xf>
    <xf numFmtId="10" fontId="5" fillId="3" borderId="3" xfId="0" applyNumberFormat="1" applyFont="1" applyFill="1" applyBorder="1"/>
    <xf numFmtId="4" fontId="5" fillId="3" borderId="2" xfId="4" applyFont="1" applyBorder="1">
      <alignment horizontal="right"/>
    </xf>
    <xf numFmtId="4" fontId="4" fillId="3" borderId="2" xfId="4" applyFont="1" applyBorder="1">
      <alignment horizontal="right"/>
    </xf>
    <xf numFmtId="49" fontId="4" fillId="0" borderId="0" xfId="0" applyNumberFormat="1" applyFont="1" applyAlignment="1">
      <alignment vertical="top"/>
    </xf>
    <xf numFmtId="4" fontId="5" fillId="3" borderId="2" xfId="4" applyFont="1" applyBorder="1" applyAlignment="1">
      <alignment horizontal="center" vertical="center"/>
    </xf>
    <xf numFmtId="4" fontId="4" fillId="3" borderId="2" xfId="4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5" fillId="2" borderId="2" xfId="3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" fontId="5" fillId="3" borderId="2" xfId="5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/>
    <xf numFmtId="4" fontId="5" fillId="0" borderId="0" xfId="3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10" fontId="5" fillId="3" borderId="2" xfId="0" applyNumberFormat="1" applyFont="1" applyFill="1" applyBorder="1"/>
    <xf numFmtId="49" fontId="4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9" fontId="4" fillId="3" borderId="2" xfId="4" applyNumberFormat="1" applyFont="1" applyBorder="1" applyAlignment="1">
      <alignment horizontal="center" vertical="center"/>
    </xf>
    <xf numFmtId="9" fontId="5" fillId="2" borderId="2" xfId="3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" fontId="5" fillId="4" borderId="2" xfId="3" applyFont="1" applyFill="1" applyBorder="1" applyAlignment="1">
      <alignment horizontal="center" vertical="center"/>
    </xf>
    <xf numFmtId="4" fontId="5" fillId="4" borderId="2" xfId="4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  <xf numFmtId="0" fontId="11" fillId="0" borderId="0" xfId="0" applyFont="1"/>
    <xf numFmtId="0" fontId="2" fillId="0" borderId="0" xfId="1" applyBorder="1">
      <alignment horizontal="center" vertical="center" wrapText="1"/>
    </xf>
    <xf numFmtId="49" fontId="0" fillId="0" borderId="0" xfId="0" applyNumberForma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6">
    <cellStyle name="Заголовок" xfId="1"/>
    <cellStyle name="ЗаголовокСтолбца" xfId="2"/>
    <cellStyle name="Значение" xfId="3"/>
    <cellStyle name="Обычный" xfId="0" builtinId="0"/>
    <cellStyle name="Формула" xfId="5"/>
    <cellStyle name="ФормулаВБ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6/Desktop/Shablon%20elektro%202015-2019%20&#1086;&#1090;%2014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Анкета"/>
      <sheetName val="Долгосрочные параметры"/>
      <sheetName val="3"/>
      <sheetName val="анализ потерь (РЭК)"/>
      <sheetName val="4"/>
      <sheetName val="5"/>
      <sheetName val="динамика потерь"/>
      <sheetName val="15"/>
      <sheetName val="16"/>
      <sheetName val="17"/>
      <sheetName val="17.1"/>
      <sheetName val="18"/>
      <sheetName val="ОПР -25 счет"/>
      <sheetName val="ОХР -26 счет"/>
      <sheetName val="Закупки"/>
      <sheetName val="20"/>
      <sheetName val="20.1"/>
      <sheetName val="21"/>
      <sheetName val="25"/>
      <sheetName val="Цена потерь"/>
      <sheetName val="Расчет долгосрочных параметров"/>
      <sheetName val="корректировка 2014 "/>
      <sheetName val="P2.1"/>
      <sheetName val="P2.1 (корректировка)"/>
      <sheetName val="P2.2"/>
      <sheetName val="P2.2 (корректировка)"/>
      <sheetName val="2.3"/>
      <sheetName val="РЭК корректировка"/>
      <sheetName val="заключение"/>
      <sheetName val="поправить"/>
      <sheetName val="Лист1"/>
    </sheetNames>
    <sheetDataSet>
      <sheetData sheetId="0" refreshError="1"/>
      <sheetData sheetId="1" refreshError="1">
        <row r="3">
          <cell r="B3" t="str">
            <v>ООО "Сибирские Энергретические Сети"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26">
          <cell r="B26">
            <v>0</v>
          </cell>
        </row>
        <row r="28">
          <cell r="B28">
            <v>0</v>
          </cell>
          <cell r="C28">
            <v>105.00300000000001</v>
          </cell>
          <cell r="E28">
            <v>33.344999999999999</v>
          </cell>
        </row>
        <row r="29">
          <cell r="B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</row>
      </sheetData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view="pageBreakPreview" topLeftCell="A28" zoomScale="60" zoomScaleNormal="100" workbookViewId="0">
      <selection activeCell="K60" sqref="K60"/>
    </sheetView>
  </sheetViews>
  <sheetFormatPr defaultRowHeight="15" x14ac:dyDescent="0.25"/>
  <cols>
    <col min="1" max="1" width="6.85546875" style="18" customWidth="1"/>
    <col min="2" max="2" width="45.5703125" style="35" customWidth="1"/>
    <col min="3" max="3" width="20.42578125" style="18" customWidth="1"/>
    <col min="4" max="4" width="18.7109375" style="18" customWidth="1"/>
    <col min="5" max="5" width="18.140625" style="18" hidden="1" customWidth="1"/>
    <col min="6" max="6" width="18.140625" hidden="1" customWidth="1"/>
    <col min="7" max="7" width="13.85546875" hidden="1" customWidth="1"/>
    <col min="8" max="8" width="18.140625" hidden="1" customWidth="1"/>
    <col min="9" max="9" width="14.85546875" customWidth="1"/>
    <col min="10" max="12" width="9.140625" style="44"/>
  </cols>
  <sheetData>
    <row r="1" spans="1:12" ht="19.5" customHeight="1" x14ac:dyDescent="0.25">
      <c r="A1" s="12"/>
      <c r="B1" s="28" t="str">
        <f>[1]Анкета!B3</f>
        <v>ООО "Сибирские Энергретические Сети"</v>
      </c>
      <c r="C1" s="2" t="s">
        <v>0</v>
      </c>
      <c r="D1" s="23"/>
      <c r="G1" s="2"/>
      <c r="H1" s="2"/>
      <c r="I1" s="1"/>
    </row>
    <row r="2" spans="1:12" ht="19.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6"/>
    </row>
    <row r="3" spans="1:12" x14ac:dyDescent="0.25">
      <c r="A3" s="12"/>
      <c r="B3" s="29"/>
      <c r="C3" s="12"/>
      <c r="D3" s="12"/>
      <c r="E3" s="2" t="s">
        <v>2</v>
      </c>
      <c r="G3" s="2"/>
      <c r="H3" s="2"/>
      <c r="I3" s="1"/>
    </row>
    <row r="4" spans="1:12" ht="120" customHeight="1" x14ac:dyDescent="0.25">
      <c r="A4" s="3" t="s">
        <v>3</v>
      </c>
      <c r="B4" s="27" t="s">
        <v>4</v>
      </c>
      <c r="C4" s="3" t="s">
        <v>75</v>
      </c>
      <c r="D4" s="3" t="s">
        <v>76</v>
      </c>
      <c r="E4" s="3" t="s">
        <v>5</v>
      </c>
      <c r="F4" s="3" t="s">
        <v>5</v>
      </c>
      <c r="G4" s="3" t="s">
        <v>6</v>
      </c>
      <c r="H4" s="3" t="s">
        <v>7</v>
      </c>
      <c r="I4" s="3" t="s">
        <v>8</v>
      </c>
    </row>
    <row r="5" spans="1:12" x14ac:dyDescent="0.25">
      <c r="A5" s="3">
        <v>1</v>
      </c>
      <c r="B5" s="27">
        <f t="shared" ref="B5:G5" si="0">A5+1</f>
        <v>2</v>
      </c>
      <c r="C5" s="3">
        <v>3</v>
      </c>
      <c r="D5" s="3">
        <v>4</v>
      </c>
      <c r="E5" s="3">
        <f t="shared" si="0"/>
        <v>5</v>
      </c>
      <c r="F5" s="3">
        <f t="shared" si="0"/>
        <v>6</v>
      </c>
      <c r="G5" s="3">
        <f t="shared" si="0"/>
        <v>7</v>
      </c>
      <c r="H5" s="3">
        <v>8</v>
      </c>
      <c r="I5" s="3">
        <v>9</v>
      </c>
    </row>
    <row r="6" spans="1:12" ht="28.5" customHeight="1" x14ac:dyDescent="0.25">
      <c r="A6" s="14" t="s">
        <v>9</v>
      </c>
      <c r="B6" s="30" t="s">
        <v>10</v>
      </c>
      <c r="C6" s="11">
        <f>1209.29+173.81</f>
        <v>1383.1</v>
      </c>
      <c r="D6" s="11">
        <f>C6*1.2</f>
        <v>1659.7199999999998</v>
      </c>
      <c r="E6" s="11">
        <f>D6*103%</f>
        <v>1709.5115999999998</v>
      </c>
      <c r="F6" s="11"/>
      <c r="G6" s="11"/>
      <c r="H6" s="11"/>
      <c r="I6" s="36">
        <f>D6/C6</f>
        <v>1.2</v>
      </c>
      <c r="J6" s="48" t="s">
        <v>77</v>
      </c>
      <c r="K6" s="49"/>
      <c r="L6" s="49"/>
    </row>
    <row r="7" spans="1:12" ht="26.25" customHeight="1" x14ac:dyDescent="0.25">
      <c r="A7" s="14" t="s">
        <v>11</v>
      </c>
      <c r="B7" s="30" t="s">
        <v>12</v>
      </c>
      <c r="C7" s="11">
        <f>242.3+4.837+41.54</f>
        <v>288.67700000000002</v>
      </c>
      <c r="D7" s="11">
        <f>C7*1.2</f>
        <v>346.41239999999999</v>
      </c>
      <c r="E7" s="11">
        <f>D7*103%</f>
        <v>356.80477200000001</v>
      </c>
      <c r="F7" s="11"/>
      <c r="G7" s="11"/>
      <c r="H7" s="11"/>
      <c r="I7" s="36">
        <f t="shared" ref="I7:I8" si="1">D7/C7</f>
        <v>1.2</v>
      </c>
      <c r="J7" s="48" t="s">
        <v>77</v>
      </c>
      <c r="K7" s="49"/>
      <c r="L7" s="49"/>
    </row>
    <row r="8" spans="1:12" ht="32.25" customHeight="1" x14ac:dyDescent="0.25">
      <c r="A8" s="14" t="s">
        <v>13</v>
      </c>
      <c r="B8" s="30" t="s">
        <v>14</v>
      </c>
      <c r="C8" s="11">
        <f>C10+C15+C20</f>
        <v>448.899</v>
      </c>
      <c r="D8" s="11">
        <f>D10+D15+D20</f>
        <v>548</v>
      </c>
      <c r="E8" s="11">
        <f>E10+E15</f>
        <v>565.94000000000005</v>
      </c>
      <c r="F8" s="7">
        <f t="shared" ref="F8" si="2">F10+F15+F18+F19</f>
        <v>0</v>
      </c>
      <c r="G8" s="7">
        <f>G10+G15+G18+G19</f>
        <v>0</v>
      </c>
      <c r="H8" s="7">
        <f>H10+H15+H18+H19</f>
        <v>0</v>
      </c>
      <c r="I8" s="36">
        <f t="shared" si="1"/>
        <v>1.2207645817878854</v>
      </c>
    </row>
    <row r="9" spans="1:12" ht="21" customHeight="1" x14ac:dyDescent="0.25">
      <c r="A9" s="15"/>
      <c r="B9" s="30" t="s">
        <v>15</v>
      </c>
      <c r="C9" s="13"/>
      <c r="D9" s="13"/>
      <c r="E9" s="13"/>
      <c r="F9" s="13"/>
      <c r="G9" s="13"/>
      <c r="H9" s="13"/>
      <c r="I9" s="13"/>
    </row>
    <row r="10" spans="1:12" ht="32.25" customHeight="1" x14ac:dyDescent="0.25">
      <c r="A10" s="14" t="s">
        <v>16</v>
      </c>
      <c r="B10" s="30" t="s">
        <v>17</v>
      </c>
      <c r="C10" s="13"/>
      <c r="D10" s="13">
        <f>IF(ISERROR(#REF!/#REF!),0,#REF!/#REF!)</f>
        <v>0</v>
      </c>
      <c r="E10" s="13">
        <f>IF(ISERROR(#REF!/#REF!),0,#REF!/#REF!)</f>
        <v>0</v>
      </c>
      <c r="F10" s="13">
        <f>IF(ISERROR(#REF!/#REF!),0,#REF!/#REF!)</f>
        <v>0</v>
      </c>
      <c r="G10" s="13">
        <f>IF(ISERROR(#REF!/#REF!),0,#REF!/#REF!)</f>
        <v>0</v>
      </c>
      <c r="H10" s="13">
        <f>IF(ISERROR(#REF!/#REF!),0,#REF!/#REF!)</f>
        <v>0</v>
      </c>
      <c r="I10" s="13">
        <f>IF(ISERROR(#REF!/#REF!),0,#REF!/#REF!)</f>
        <v>0</v>
      </c>
    </row>
    <row r="11" spans="1:12" x14ac:dyDescent="0.25">
      <c r="A11" s="14"/>
      <c r="B11" s="30" t="s">
        <v>18</v>
      </c>
      <c r="C11" s="13"/>
      <c r="D11" s="13">
        <f>'[1]17.1'!H23</f>
        <v>0</v>
      </c>
      <c r="E11" s="13">
        <f>'[1]17.1'!H50</f>
        <v>0</v>
      </c>
      <c r="F11" s="13">
        <f>'[1]17.1'!H77</f>
        <v>0</v>
      </c>
      <c r="G11" s="13" t="e">
        <f>'[1]17.1'!I77</f>
        <v>#REF!</v>
      </c>
      <c r="H11" s="13" t="e">
        <f>'[1]17.1'!J77</f>
        <v>#REF!</v>
      </c>
      <c r="I11" s="13">
        <f>IF(ISERROR(#REF!/#REF!),0,#REF!/#REF!)</f>
        <v>0</v>
      </c>
    </row>
    <row r="12" spans="1:12" x14ac:dyDescent="0.25">
      <c r="A12" s="14"/>
      <c r="B12" s="30" t="s">
        <v>19</v>
      </c>
      <c r="C12" s="13"/>
      <c r="D12" s="13">
        <f>'[1]17.1'!H24</f>
        <v>0</v>
      </c>
      <c r="E12" s="13">
        <f>'[1]17.1'!H51</f>
        <v>0</v>
      </c>
      <c r="F12" s="13">
        <f>'[1]17.1'!H78</f>
        <v>0</v>
      </c>
      <c r="G12" s="13" t="e">
        <f>'[1]17.1'!I78</f>
        <v>#REF!</v>
      </c>
      <c r="H12" s="13" t="e">
        <f>'[1]17.1'!J78</f>
        <v>#REF!</v>
      </c>
      <c r="I12" s="13">
        <f>IF(ISERROR(#REF!/#REF!),0,#REF!/#REF!)</f>
        <v>0</v>
      </c>
    </row>
    <row r="13" spans="1:12" x14ac:dyDescent="0.25">
      <c r="A13" s="14"/>
      <c r="B13" s="30" t="s">
        <v>20</v>
      </c>
      <c r="C13" s="13"/>
      <c r="D13" s="13">
        <f>'[1]17.1'!H25</f>
        <v>0</v>
      </c>
      <c r="E13" s="13">
        <f>'[1]17.1'!H52</f>
        <v>0</v>
      </c>
      <c r="F13" s="13">
        <f>'[1]17.1'!H79</f>
        <v>0</v>
      </c>
      <c r="G13" s="13" t="e">
        <f>'[1]17.1'!I79</f>
        <v>#REF!</v>
      </c>
      <c r="H13" s="13" t="e">
        <f>'[1]17.1'!J79</f>
        <v>#REF!</v>
      </c>
      <c r="I13" s="13">
        <f>IF(ISERROR(#REF!/#REF!),0,#REF!/#REF!)</f>
        <v>0</v>
      </c>
    </row>
    <row r="14" spans="1:12" x14ac:dyDescent="0.25">
      <c r="A14" s="14"/>
      <c r="B14" s="30" t="s">
        <v>21</v>
      </c>
      <c r="C14" s="13"/>
      <c r="D14" s="13">
        <f>'[1]17.1'!H26</f>
        <v>0</v>
      </c>
      <c r="E14" s="13">
        <f>'[1]17.1'!H53</f>
        <v>0</v>
      </c>
      <c r="F14" s="13">
        <f>'[1]17.1'!H80</f>
        <v>0</v>
      </c>
      <c r="G14" s="13" t="e">
        <f>'[1]17.1'!I80</f>
        <v>#REF!</v>
      </c>
      <c r="H14" s="13" t="e">
        <f>'[1]17.1'!J80</f>
        <v>#REF!</v>
      </c>
      <c r="I14" s="13">
        <f>IF(ISERROR(#REF!/#REF!),0,#REF!/#REF!)</f>
        <v>0</v>
      </c>
    </row>
    <row r="15" spans="1:12" ht="48.75" customHeight="1" x14ac:dyDescent="0.25">
      <c r="A15" s="14" t="s">
        <v>22</v>
      </c>
      <c r="B15" s="30" t="s">
        <v>23</v>
      </c>
      <c r="C15" s="13">
        <f>C16</f>
        <v>428.56700000000001</v>
      </c>
      <c r="D15" s="13">
        <v>520</v>
      </c>
      <c r="E15" s="13">
        <f t="shared" ref="E15" si="3">E16+E20+E21</f>
        <v>565.94000000000005</v>
      </c>
      <c r="F15" s="13">
        <f t="shared" ref="F15" si="4">F16+F17</f>
        <v>0</v>
      </c>
      <c r="G15" s="13">
        <f>G16+G17</f>
        <v>0</v>
      </c>
      <c r="H15" s="13">
        <f>H16+H17</f>
        <v>0</v>
      </c>
      <c r="I15" s="37"/>
      <c r="J15" s="48" t="s">
        <v>78</v>
      </c>
      <c r="K15" s="49"/>
      <c r="L15" s="49"/>
    </row>
    <row r="16" spans="1:12" ht="47.25" customHeight="1" x14ac:dyDescent="0.25">
      <c r="A16" s="14"/>
      <c r="B16" s="30" t="s">
        <v>24</v>
      </c>
      <c r="C16" s="13">
        <f>269.54+159.027</f>
        <v>428.56700000000001</v>
      </c>
      <c r="D16" s="13">
        <v>520</v>
      </c>
      <c r="E16" s="13">
        <f>D16*103%</f>
        <v>535.6</v>
      </c>
      <c r="F16" s="5"/>
      <c r="G16" s="5"/>
      <c r="H16" s="5"/>
      <c r="I16" s="37"/>
      <c r="J16" s="48" t="s">
        <v>79</v>
      </c>
      <c r="K16" s="49"/>
      <c r="L16" s="49"/>
    </row>
    <row r="17" spans="1:12" ht="22.5" customHeight="1" x14ac:dyDescent="0.25">
      <c r="A17" s="14"/>
      <c r="B17" s="30" t="s">
        <v>25</v>
      </c>
      <c r="C17" s="13"/>
      <c r="D17" s="13"/>
      <c r="E17" s="13"/>
      <c r="F17" s="5"/>
      <c r="G17" s="5"/>
      <c r="H17" s="5"/>
      <c r="I17" s="37"/>
    </row>
    <row r="18" spans="1:12" ht="52.5" customHeight="1" x14ac:dyDescent="0.25">
      <c r="A18" s="14" t="s">
        <v>26</v>
      </c>
      <c r="B18" s="30" t="s">
        <v>27</v>
      </c>
      <c r="C18" s="13"/>
      <c r="D18" s="13"/>
      <c r="E18" s="13"/>
      <c r="F18" s="5"/>
      <c r="G18" s="5"/>
      <c r="H18" s="5"/>
      <c r="I18" s="37"/>
    </row>
    <row r="19" spans="1:12" ht="35.25" customHeight="1" x14ac:dyDescent="0.25">
      <c r="A19" s="14" t="s">
        <v>28</v>
      </c>
      <c r="B19" s="30" t="s">
        <v>29</v>
      </c>
      <c r="C19" s="13"/>
      <c r="D19" s="13"/>
      <c r="E19" s="13"/>
      <c r="F19" s="5"/>
      <c r="G19" s="5"/>
      <c r="H19" s="5"/>
      <c r="I19" s="37"/>
    </row>
    <row r="20" spans="1:12" ht="52.5" customHeight="1" x14ac:dyDescent="0.25">
      <c r="A20" s="14"/>
      <c r="B20" s="30" t="s">
        <v>30</v>
      </c>
      <c r="C20" s="13">
        <f>7.5+3.96+1.302+5.52+2.05</f>
        <v>20.332000000000001</v>
      </c>
      <c r="D20" s="13">
        <v>28</v>
      </c>
      <c r="E20" s="13">
        <f t="shared" ref="E20" si="5">D20*103%</f>
        <v>28.84</v>
      </c>
      <c r="F20" s="5"/>
      <c r="G20" s="5"/>
      <c r="H20" s="5"/>
      <c r="I20" s="37"/>
      <c r="J20" s="48" t="s">
        <v>80</v>
      </c>
      <c r="K20" s="49"/>
      <c r="L20" s="49"/>
    </row>
    <row r="21" spans="1:12" ht="30.75" customHeight="1" x14ac:dyDescent="0.25">
      <c r="A21" s="14"/>
      <c r="B21" s="30" t="s">
        <v>31</v>
      </c>
      <c r="C21" s="13"/>
      <c r="D21" s="13"/>
      <c r="E21" s="13">
        <v>1.5</v>
      </c>
      <c r="F21" s="5"/>
      <c r="G21" s="5"/>
      <c r="H21" s="5"/>
      <c r="I21" s="37"/>
      <c r="J21" s="50" t="s">
        <v>83</v>
      </c>
      <c r="K21" s="51"/>
      <c r="L21" s="51"/>
    </row>
    <row r="22" spans="1:12" ht="30.75" customHeight="1" x14ac:dyDescent="0.25">
      <c r="A22" s="14" t="s">
        <v>32</v>
      </c>
      <c r="B22" s="30" t="s">
        <v>33</v>
      </c>
      <c r="C22" s="10"/>
      <c r="D22" s="10"/>
      <c r="E22" s="10"/>
      <c r="F22" s="10"/>
      <c r="G22" s="10"/>
      <c r="H22" s="10"/>
      <c r="I22" s="10"/>
    </row>
    <row r="23" spans="1:12" ht="27.75" customHeight="1" x14ac:dyDescent="0.25">
      <c r="A23" s="14" t="s">
        <v>34</v>
      </c>
      <c r="B23" s="30" t="s">
        <v>35</v>
      </c>
      <c r="C23" s="11">
        <f>C24</f>
        <v>934.37699999999995</v>
      </c>
      <c r="D23" s="11">
        <f>C23*1.05</f>
        <v>981.09585000000004</v>
      </c>
      <c r="E23" s="11">
        <f>D24*103%</f>
        <v>1010.5287255000001</v>
      </c>
      <c r="F23" s="10"/>
      <c r="G23" s="10"/>
      <c r="H23" s="10"/>
      <c r="I23" s="36">
        <f t="shared" ref="I23" si="6">D23/C23</f>
        <v>1.05</v>
      </c>
    </row>
    <row r="24" spans="1:12" ht="31.5" customHeight="1" x14ac:dyDescent="0.25">
      <c r="A24" s="15"/>
      <c r="B24" s="30" t="s">
        <v>36</v>
      </c>
      <c r="C24" s="13">
        <v>934.37699999999995</v>
      </c>
      <c r="D24" s="13">
        <f>C24*1.05</f>
        <v>981.09585000000004</v>
      </c>
      <c r="E24" s="13">
        <f>E23</f>
        <v>1010.5287255000001</v>
      </c>
      <c r="F24" s="5"/>
      <c r="G24" s="5"/>
      <c r="H24" s="5"/>
      <c r="I24" s="37"/>
      <c r="J24" s="50" t="s">
        <v>81</v>
      </c>
      <c r="K24" s="51"/>
      <c r="L24" s="51"/>
    </row>
    <row r="25" spans="1:12" ht="39" customHeight="1" x14ac:dyDescent="0.25">
      <c r="A25" s="15"/>
      <c r="B25" s="30" t="s">
        <v>37</v>
      </c>
      <c r="C25" s="13"/>
      <c r="D25" s="13"/>
      <c r="E25" s="13"/>
      <c r="F25" s="5"/>
      <c r="G25" s="5"/>
      <c r="H25" s="5"/>
      <c r="I25" s="13"/>
    </row>
    <row r="26" spans="1:12" ht="33" hidden="1" customHeight="1" x14ac:dyDescent="0.25">
      <c r="A26" s="15"/>
      <c r="B26" s="30" t="s">
        <v>74</v>
      </c>
      <c r="C26" s="13"/>
      <c r="D26" s="13"/>
      <c r="E26" s="13"/>
      <c r="F26" s="5"/>
      <c r="G26" s="5"/>
      <c r="H26" s="5"/>
      <c r="I26" s="13"/>
    </row>
    <row r="27" spans="1:12" ht="24" customHeight="1" x14ac:dyDescent="0.25">
      <c r="A27" s="14"/>
      <c r="B27" s="30" t="s">
        <v>38</v>
      </c>
      <c r="C27" s="13"/>
      <c r="D27" s="13"/>
      <c r="E27" s="13"/>
      <c r="F27" s="5"/>
      <c r="G27" s="5"/>
      <c r="H27" s="5"/>
      <c r="I27" s="13"/>
    </row>
    <row r="28" spans="1:12" ht="34.5" customHeight="1" x14ac:dyDescent="0.25">
      <c r="A28" s="14" t="s">
        <v>39</v>
      </c>
      <c r="B28" s="30" t="s">
        <v>40</v>
      </c>
      <c r="C28" s="11"/>
      <c r="D28" s="11"/>
      <c r="E28" s="11"/>
      <c r="F28" s="10"/>
      <c r="G28" s="10"/>
      <c r="H28" s="10"/>
      <c r="I28" s="11"/>
    </row>
    <row r="29" spans="1:12" ht="21" customHeight="1" x14ac:dyDescent="0.25">
      <c r="A29" s="14" t="s">
        <v>41</v>
      </c>
      <c r="B29" s="30" t="s">
        <v>42</v>
      </c>
      <c r="C29" s="11">
        <f>C43+C35</f>
        <v>100.751</v>
      </c>
      <c r="D29" s="11">
        <f>D43+D32+D35</f>
        <v>105.01764200000001</v>
      </c>
      <c r="E29" s="11">
        <f t="shared" ref="E29" si="7">E31+E32+E35</f>
        <v>127.13820876000001</v>
      </c>
      <c r="F29" s="7">
        <f>F31+F32+F33+F34+F35+F43</f>
        <v>0</v>
      </c>
      <c r="G29" s="7">
        <f>G31+G32+G33+G34+G35+G43</f>
        <v>0</v>
      </c>
      <c r="H29" s="7">
        <f>H31+H32+H33+H34+H35+H43</f>
        <v>0</v>
      </c>
      <c r="I29" s="36">
        <f>D29/C29</f>
        <v>1.0423483836388721</v>
      </c>
    </row>
    <row r="30" spans="1:12" ht="20.25" customHeight="1" x14ac:dyDescent="0.25">
      <c r="A30" s="14"/>
      <c r="B30" s="30" t="s">
        <v>43</v>
      </c>
      <c r="C30" s="13"/>
      <c r="D30" s="13"/>
      <c r="E30" s="13"/>
      <c r="F30" s="13"/>
      <c r="G30" s="13"/>
      <c r="H30" s="13"/>
      <c r="I30" s="13"/>
    </row>
    <row r="31" spans="1:12" ht="19.5" hidden="1" customHeight="1" x14ac:dyDescent="0.25">
      <c r="A31" s="14" t="s">
        <v>44</v>
      </c>
      <c r="B31" s="30" t="s">
        <v>68</v>
      </c>
      <c r="C31" s="13"/>
      <c r="D31" s="13"/>
      <c r="E31" s="13"/>
      <c r="F31" s="5"/>
      <c r="G31" s="5"/>
      <c r="H31" s="5"/>
      <c r="I31" s="6">
        <f>IF(ISERROR(#REF!/#REF!),0,#REF!/#REF!)</f>
        <v>0</v>
      </c>
    </row>
    <row r="32" spans="1:12" ht="24.75" hidden="1" customHeight="1" x14ac:dyDescent="0.25">
      <c r="A32" s="14" t="s">
        <v>45</v>
      </c>
      <c r="B32" s="30" t="s">
        <v>69</v>
      </c>
      <c r="C32" s="13"/>
      <c r="D32" s="13"/>
      <c r="E32" s="13"/>
      <c r="F32" s="5"/>
      <c r="G32" s="5"/>
      <c r="H32" s="5"/>
      <c r="I32" s="6">
        <f>IF(ISERROR(#REF!/#REF!),0,#REF!/#REF!)</f>
        <v>0</v>
      </c>
    </row>
    <row r="33" spans="1:12" ht="45.75" customHeight="1" x14ac:dyDescent="0.25">
      <c r="A33" s="14" t="s">
        <v>46</v>
      </c>
      <c r="B33" s="30" t="s">
        <v>47</v>
      </c>
      <c r="C33" s="13"/>
      <c r="D33" s="13"/>
      <c r="E33" s="13"/>
      <c r="F33" s="5"/>
      <c r="G33" s="5"/>
      <c r="H33" s="5"/>
      <c r="I33" s="13"/>
    </row>
    <row r="34" spans="1:12" ht="39" customHeight="1" x14ac:dyDescent="0.25">
      <c r="A34" s="14" t="s">
        <v>48</v>
      </c>
      <c r="B34" s="30" t="s">
        <v>49</v>
      </c>
      <c r="C34" s="13"/>
      <c r="D34" s="13"/>
      <c r="E34" s="13"/>
      <c r="F34" s="5"/>
      <c r="G34" s="5"/>
      <c r="H34" s="5"/>
      <c r="I34" s="13"/>
    </row>
    <row r="35" spans="1:12" ht="31.5" customHeight="1" x14ac:dyDescent="0.25">
      <c r="A35" s="14" t="s">
        <v>50</v>
      </c>
      <c r="B35" s="30" t="s">
        <v>51</v>
      </c>
      <c r="C35" s="13">
        <f>0.325</f>
        <v>0.32500000000000001</v>
      </c>
      <c r="D35" s="13">
        <f>C35*1.15</f>
        <v>0.37374999999999997</v>
      </c>
      <c r="E35" s="13">
        <f>SUM(E36:E43)</f>
        <v>127.13820876000001</v>
      </c>
      <c r="F35" s="13">
        <f t="shared" ref="F35" si="8">SUM(F36:F42)</f>
        <v>0</v>
      </c>
      <c r="G35" s="13">
        <f>SUM(G36:G42)</f>
        <v>0</v>
      </c>
      <c r="H35" s="13">
        <f>SUM(H36:H42)</f>
        <v>0</v>
      </c>
      <c r="I35" s="37"/>
      <c r="J35" s="50" t="s">
        <v>82</v>
      </c>
      <c r="K35" s="51"/>
      <c r="L35" s="51"/>
    </row>
    <row r="36" spans="1:12" ht="23.25" hidden="1" customHeight="1" x14ac:dyDescent="0.25">
      <c r="A36" s="14"/>
      <c r="B36" s="30" t="s">
        <v>15</v>
      </c>
      <c r="C36" s="13"/>
      <c r="D36" s="14"/>
      <c r="E36" s="14"/>
      <c r="F36" s="4"/>
      <c r="G36" s="4"/>
      <c r="H36" s="4"/>
      <c r="I36" s="37"/>
    </row>
    <row r="37" spans="1:12" ht="24" hidden="1" customHeight="1" x14ac:dyDescent="0.25">
      <c r="A37" s="14"/>
      <c r="B37" s="30" t="s">
        <v>70</v>
      </c>
      <c r="C37" s="13"/>
      <c r="D37" s="13">
        <v>3.5</v>
      </c>
      <c r="E37" s="13">
        <f>D37*103%</f>
        <v>3.605</v>
      </c>
      <c r="F37" s="5"/>
      <c r="G37" s="5"/>
      <c r="H37" s="5"/>
      <c r="I37" s="37"/>
    </row>
    <row r="38" spans="1:12" ht="21.75" hidden="1" customHeight="1" x14ac:dyDescent="0.25">
      <c r="A38" s="14"/>
      <c r="B38" s="30"/>
      <c r="C38" s="13"/>
      <c r="D38" s="13"/>
      <c r="E38" s="13"/>
      <c r="F38" s="5"/>
      <c r="G38" s="5"/>
      <c r="H38" s="5"/>
      <c r="I38" s="37"/>
    </row>
    <row r="39" spans="1:12" ht="37.5" hidden="1" customHeight="1" x14ac:dyDescent="0.25">
      <c r="A39" s="14"/>
      <c r="B39" s="30" t="s">
        <v>73</v>
      </c>
      <c r="C39" s="13"/>
      <c r="D39" s="13">
        <f>C39*1.33</f>
        <v>0</v>
      </c>
      <c r="E39" s="13">
        <f t="shared" ref="E39:E43" si="9">D39*103%</f>
        <v>0</v>
      </c>
      <c r="F39" s="5"/>
      <c r="G39" s="5"/>
      <c r="H39" s="5"/>
      <c r="I39" s="37"/>
    </row>
    <row r="40" spans="1:12" ht="19.5" hidden="1" customHeight="1" x14ac:dyDescent="0.25">
      <c r="A40" s="14"/>
      <c r="B40" s="30" t="s">
        <v>52</v>
      </c>
      <c r="C40" s="13"/>
      <c r="D40" s="13">
        <v>15</v>
      </c>
      <c r="E40" s="13">
        <v>15.75</v>
      </c>
      <c r="F40" s="5"/>
      <c r="G40" s="5"/>
      <c r="H40" s="5"/>
      <c r="I40" s="37"/>
    </row>
    <row r="41" spans="1:12" ht="15.75" hidden="1" x14ac:dyDescent="0.25">
      <c r="A41" s="14"/>
      <c r="B41" s="30" t="s">
        <v>71</v>
      </c>
      <c r="C41" s="13"/>
      <c r="D41" s="13">
        <f>C41*2</f>
        <v>0</v>
      </c>
      <c r="E41" s="13">
        <f t="shared" si="9"/>
        <v>0</v>
      </c>
      <c r="F41" s="5"/>
      <c r="G41" s="5"/>
      <c r="H41" s="5"/>
      <c r="I41" s="37"/>
    </row>
    <row r="42" spans="1:12" ht="18.75" hidden="1" customHeight="1" x14ac:dyDescent="0.25">
      <c r="A42" s="14"/>
      <c r="B42" s="30" t="s">
        <v>72</v>
      </c>
      <c r="C42" s="13"/>
      <c r="D42" s="13">
        <f>C42*1.33</f>
        <v>0</v>
      </c>
      <c r="E42" s="13">
        <f t="shared" si="9"/>
        <v>0</v>
      </c>
      <c r="F42" s="5"/>
      <c r="G42" s="5"/>
      <c r="H42" s="5"/>
      <c r="I42" s="37"/>
    </row>
    <row r="43" spans="1:12" ht="71.25" customHeight="1" x14ac:dyDescent="0.25">
      <c r="A43" s="14" t="s">
        <v>53</v>
      </c>
      <c r="B43" s="30" t="s">
        <v>54</v>
      </c>
      <c r="C43" s="13">
        <f>86.55+2.5+11.376</f>
        <v>100.426</v>
      </c>
      <c r="D43" s="13">
        <f>C43*104.2%</f>
        <v>104.64389200000001</v>
      </c>
      <c r="E43" s="13">
        <f t="shared" si="9"/>
        <v>107.78320876000001</v>
      </c>
      <c r="F43" s="5"/>
      <c r="G43" s="5"/>
      <c r="H43" s="5"/>
      <c r="I43" s="37"/>
      <c r="J43" s="50" t="s">
        <v>84</v>
      </c>
      <c r="K43" s="51"/>
      <c r="L43" s="51"/>
    </row>
    <row r="44" spans="1:12" ht="20.25" hidden="1" customHeight="1" x14ac:dyDescent="0.25">
      <c r="A44" s="14"/>
      <c r="B44" s="30" t="s">
        <v>15</v>
      </c>
      <c r="C44" s="38"/>
      <c r="D44" s="14"/>
      <c r="E44" s="14"/>
      <c r="F44" s="4"/>
      <c r="G44" s="4"/>
      <c r="H44" s="4"/>
      <c r="I44" s="14"/>
    </row>
    <row r="45" spans="1:12" ht="20.25" hidden="1" customHeight="1" x14ac:dyDescent="0.25">
      <c r="A45" s="14"/>
      <c r="B45" s="30"/>
      <c r="C45" s="39"/>
      <c r="D45" s="13"/>
      <c r="E45" s="13"/>
      <c r="F45" s="5"/>
      <c r="G45" s="5"/>
      <c r="H45" s="5"/>
      <c r="I45" s="24">
        <f>IF(ISERROR(#REF!/#REF!),0,#REF!/#REF!)</f>
        <v>0</v>
      </c>
    </row>
    <row r="46" spans="1:12" ht="15.75" hidden="1" x14ac:dyDescent="0.25">
      <c r="A46" s="14"/>
      <c r="B46" s="30"/>
      <c r="C46" s="39"/>
      <c r="D46" s="13"/>
      <c r="E46" s="13"/>
      <c r="F46" s="5"/>
      <c r="G46" s="5"/>
      <c r="H46" s="5"/>
      <c r="I46" s="24">
        <f>IF(ISERROR(#REF!/#REF!),0,#REF!/#REF!)</f>
        <v>0</v>
      </c>
    </row>
    <row r="47" spans="1:12" ht="15.75" hidden="1" x14ac:dyDescent="0.25">
      <c r="A47" s="14"/>
      <c r="B47" s="30"/>
      <c r="C47" s="39"/>
      <c r="D47" s="13"/>
      <c r="E47" s="13"/>
      <c r="F47" s="5"/>
      <c r="G47" s="5"/>
      <c r="H47" s="5"/>
      <c r="I47" s="24">
        <f>IF(ISERROR(#REF!/#REF!),0,#REF!/#REF!)</f>
        <v>0</v>
      </c>
    </row>
    <row r="48" spans="1:12" ht="15.75" hidden="1" x14ac:dyDescent="0.25">
      <c r="A48" s="14"/>
      <c r="B48" s="30"/>
      <c r="C48" s="39"/>
      <c r="D48" s="13"/>
      <c r="E48" s="13"/>
      <c r="F48" s="5"/>
      <c r="G48" s="5"/>
      <c r="H48" s="5"/>
      <c r="I48" s="24">
        <f>IF(ISERROR(#REF!/#REF!),0,#REF!/#REF!)</f>
        <v>0</v>
      </c>
    </row>
    <row r="49" spans="1:9" ht="36.75" hidden="1" customHeight="1" x14ac:dyDescent="0.25">
      <c r="A49" s="14" t="s">
        <v>55</v>
      </c>
      <c r="B49" s="30" t="s">
        <v>56</v>
      </c>
      <c r="C49" s="40"/>
      <c r="D49" s="14"/>
      <c r="E49" s="14"/>
      <c r="F49" s="14"/>
      <c r="G49" s="14"/>
      <c r="H49" s="14"/>
      <c r="I49" s="14">
        <f>IF(ISERROR(#REF!/#REF!),0,#REF!/#REF!)</f>
        <v>0</v>
      </c>
    </row>
    <row r="50" spans="1:9" ht="48.75" hidden="1" customHeight="1" x14ac:dyDescent="0.25">
      <c r="A50" s="14" t="s">
        <v>57</v>
      </c>
      <c r="B50" s="30" t="s">
        <v>58</v>
      </c>
      <c r="C50" s="40"/>
      <c r="D50" s="14"/>
      <c r="E50" s="14"/>
      <c r="F50" s="14"/>
      <c r="G50" s="14"/>
      <c r="H50" s="14"/>
      <c r="I50" s="14">
        <f>IF(ISERROR(#REF!/#REF!),0,#REF!/#REF!)</f>
        <v>0</v>
      </c>
    </row>
    <row r="51" spans="1:9" ht="33" customHeight="1" x14ac:dyDescent="0.25">
      <c r="A51" s="25" t="s">
        <v>59</v>
      </c>
      <c r="B51" s="31" t="s">
        <v>60</v>
      </c>
      <c r="C51" s="11">
        <f>C6+C7+C8+C22+C23+C28+C29+C49-C50</f>
        <v>3155.8040000000001</v>
      </c>
      <c r="D51" s="11">
        <f>D6+D7+D8+D22+D23+D28+D29+D49-D50</f>
        <v>3640.2458919999995</v>
      </c>
      <c r="E51" s="11">
        <f>E6+E7+E8+E22+E23+E28+E29+E49-E50</f>
        <v>3769.9233062600001</v>
      </c>
      <c r="F51" s="8">
        <f t="shared" ref="F51" si="10">F6+F7+F8+F22+F23+F28+F29+F49-F50</f>
        <v>0</v>
      </c>
      <c r="G51" s="8">
        <f>G6+G7+G8+G22+G23+G28+G29+G49-G50</f>
        <v>0</v>
      </c>
      <c r="H51" s="8">
        <f>H6+H7+H8+H22+H23+H28+H29+H49-H50</f>
        <v>0</v>
      </c>
      <c r="I51" s="36">
        <f t="shared" ref="I51" si="11">D51/C51</f>
        <v>1.1535082318166778</v>
      </c>
    </row>
    <row r="52" spans="1:9" ht="20.25" customHeight="1" x14ac:dyDescent="0.25">
      <c r="A52" s="14"/>
      <c r="B52" s="30" t="s">
        <v>15</v>
      </c>
      <c r="C52" s="13"/>
      <c r="D52" s="13"/>
      <c r="E52" s="13"/>
      <c r="F52" s="13"/>
      <c r="G52" s="13"/>
      <c r="H52" s="13"/>
      <c r="I52" s="13"/>
    </row>
    <row r="53" spans="1:9" ht="15.75" x14ac:dyDescent="0.25">
      <c r="A53" s="14"/>
      <c r="B53" s="30" t="s">
        <v>18</v>
      </c>
      <c r="C53" s="10">
        <f t="shared" ref="C53:H56" si="12">IF(C$60=0,0,C11 + (C$51 - C$11- C$12- C$13- C$14)*C62 / C$60 )</f>
        <v>0</v>
      </c>
      <c r="D53" s="10">
        <f t="shared" si="12"/>
        <v>0</v>
      </c>
      <c r="E53" s="10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24"/>
    </row>
    <row r="54" spans="1:9" ht="15.75" x14ac:dyDescent="0.25">
      <c r="A54" s="14"/>
      <c r="B54" s="30" t="s">
        <v>19</v>
      </c>
      <c r="C54" s="10">
        <f t="shared" si="12"/>
        <v>701.94894103126455</v>
      </c>
      <c r="D54" s="10">
        <f>IF(D$60=0,0,D12 + (D$51 - D$11- D$12- D$13- D$14)*D63 / D$60 )</f>
        <v>685.62854733825122</v>
      </c>
      <c r="E54" s="10">
        <f>IF(E$60=0,0,E12 + (E$51 - E$11- E$12- E$13- E$14)*E63 / E$60 )</f>
        <v>769.39707623201423</v>
      </c>
      <c r="F54" s="7">
        <f t="shared" si="12"/>
        <v>0</v>
      </c>
      <c r="G54" s="7">
        <f t="shared" si="12"/>
        <v>0</v>
      </c>
      <c r="H54" s="7">
        <f t="shared" si="12"/>
        <v>0</v>
      </c>
      <c r="I54" s="24"/>
    </row>
    <row r="55" spans="1:9" ht="15.75" x14ac:dyDescent="0.25">
      <c r="A55" s="14"/>
      <c r="B55" s="30" t="s">
        <v>20</v>
      </c>
      <c r="C55" s="10">
        <f t="shared" si="12"/>
        <v>2254.0387072640447</v>
      </c>
      <c r="D55" s="10">
        <f t="shared" si="12"/>
        <v>2724.1275381188107</v>
      </c>
      <c r="E55" s="10">
        <f t="shared" si="12"/>
        <v>2756.1946822916684</v>
      </c>
      <c r="F55" s="7">
        <f t="shared" si="12"/>
        <v>0</v>
      </c>
      <c r="G55" s="7">
        <f t="shared" si="12"/>
        <v>0</v>
      </c>
      <c r="H55" s="7">
        <f t="shared" si="12"/>
        <v>0</v>
      </c>
      <c r="I55" s="24"/>
    </row>
    <row r="56" spans="1:9" ht="15.75" x14ac:dyDescent="0.25">
      <c r="A56" s="14"/>
      <c r="B56" s="30" t="s">
        <v>21</v>
      </c>
      <c r="C56" s="10">
        <f t="shared" si="12"/>
        <v>199.8163517046911</v>
      </c>
      <c r="D56" s="10">
        <f>IF(D$60=0,0,D14 + (D$51 - D$11- D$12- D$13- D$14)*D65 / D$60 )</f>
        <v>230.48980654293769</v>
      </c>
      <c r="E56" s="10">
        <f t="shared" si="12"/>
        <v>244.33154773631711</v>
      </c>
      <c r="F56" s="7">
        <f t="shared" si="12"/>
        <v>0</v>
      </c>
      <c r="G56" s="7">
        <f t="shared" si="12"/>
        <v>0</v>
      </c>
      <c r="H56" s="7">
        <f t="shared" si="12"/>
        <v>0</v>
      </c>
      <c r="I56" s="24"/>
    </row>
    <row r="57" spans="1:9" x14ac:dyDescent="0.25">
      <c r="A57" s="15"/>
      <c r="B57" s="32"/>
      <c r="C57" s="13"/>
      <c r="D57" s="13"/>
      <c r="E57" s="13"/>
      <c r="F57" s="13"/>
      <c r="G57" s="13"/>
      <c r="H57" s="13"/>
      <c r="I57" s="13"/>
    </row>
    <row r="58" spans="1:9" ht="27.75" customHeight="1" x14ac:dyDescent="0.25">
      <c r="A58" s="25" t="s">
        <v>61</v>
      </c>
      <c r="B58" s="31" t="s">
        <v>62</v>
      </c>
      <c r="C58" s="11">
        <f>IF(C60=0,0,C51/C60)</f>
        <v>5.992393213516003</v>
      </c>
      <c r="D58" s="11">
        <f t="shared" ref="D58:F58" si="13">IF(D60=0,0,D51/D60)</f>
        <v>6.912274900073105</v>
      </c>
      <c r="E58" s="11">
        <f t="shared" si="13"/>
        <v>7.3273818484425588</v>
      </c>
      <c r="F58" s="8">
        <f t="shared" si="13"/>
        <v>0</v>
      </c>
      <c r="G58" s="8">
        <f>IF(G60=0,0,G51/G60)</f>
        <v>0</v>
      </c>
      <c r="H58" s="8">
        <f>IF(H60=0,0,H51/H60)</f>
        <v>0</v>
      </c>
      <c r="I58" s="11">
        <f>IF(ISERROR(#REF!/#REF!),0,#REF!/#REF!)</f>
        <v>0</v>
      </c>
    </row>
    <row r="59" spans="1:9" ht="22.5" customHeight="1" x14ac:dyDescent="0.25">
      <c r="A59" s="14"/>
      <c r="B59" s="30" t="s">
        <v>63</v>
      </c>
      <c r="C59" s="13"/>
      <c r="D59" s="13"/>
      <c r="E59" s="13"/>
      <c r="F59" s="13"/>
      <c r="G59" s="13"/>
      <c r="H59" s="13"/>
      <c r="I59" s="13"/>
    </row>
    <row r="60" spans="1:9" ht="33.75" customHeight="1" x14ac:dyDescent="0.25">
      <c r="A60" s="14" t="s">
        <v>64</v>
      </c>
      <c r="B60" s="30" t="s">
        <v>65</v>
      </c>
      <c r="C60" s="11">
        <f t="shared" ref="C60:H60" si="14">C62+C63+C64+C65</f>
        <v>526.63499999999999</v>
      </c>
      <c r="D60" s="11">
        <f t="shared" si="14"/>
        <v>526.63499999999999</v>
      </c>
      <c r="E60" s="11">
        <f t="shared" si="14"/>
        <v>514.49800000000005</v>
      </c>
      <c r="F60" s="11">
        <f t="shared" si="14"/>
        <v>0</v>
      </c>
      <c r="G60" s="11">
        <f t="shared" si="14"/>
        <v>0</v>
      </c>
      <c r="H60" s="11">
        <f t="shared" si="14"/>
        <v>0</v>
      </c>
      <c r="I60" s="11">
        <f>IF(ISERROR(#REF!/#REF!),0,#REF!/#REF!)</f>
        <v>0</v>
      </c>
    </row>
    <row r="61" spans="1:9" ht="18" customHeight="1" x14ac:dyDescent="0.25">
      <c r="A61" s="14"/>
      <c r="B61" s="30" t="s">
        <v>15</v>
      </c>
      <c r="C61" s="13"/>
      <c r="D61" s="13"/>
      <c r="E61" s="13"/>
      <c r="F61" s="13"/>
      <c r="G61" s="13"/>
      <c r="H61" s="13"/>
      <c r="I61" s="13"/>
    </row>
    <row r="62" spans="1:9" x14ac:dyDescent="0.25">
      <c r="A62" s="14"/>
      <c r="B62" s="30" t="s">
        <v>18</v>
      </c>
      <c r="C62" s="16"/>
      <c r="D62" s="16">
        <f>'[1]2.3'!$B$28</f>
        <v>0</v>
      </c>
      <c r="E62" s="16">
        <f>'[1]2.3'!$B$29</f>
        <v>0</v>
      </c>
      <c r="F62" s="16">
        <f>'[1]2.3'!$B$30</f>
        <v>0</v>
      </c>
      <c r="G62" s="16">
        <f>'[1]2.3'!$B$31</f>
        <v>0</v>
      </c>
      <c r="H62" s="16">
        <f>'[1]2.3'!$B$32</f>
        <v>0</v>
      </c>
      <c r="I62" s="16">
        <f>IF(ISERROR(#REF!/#REF!),0,#REF!/#REF!)</f>
        <v>0</v>
      </c>
    </row>
    <row r="63" spans="1:9" x14ac:dyDescent="0.25">
      <c r="A63" s="14"/>
      <c r="B63" s="30" t="s">
        <v>19</v>
      </c>
      <c r="C63" s="16">
        <f>105+12.14</f>
        <v>117.14</v>
      </c>
      <c r="D63" s="16">
        <v>99.19</v>
      </c>
      <c r="E63" s="16">
        <f>'[1]2.3'!$C$28</f>
        <v>105.00300000000001</v>
      </c>
      <c r="F63" s="16">
        <f>'[1]2.3'!$C$30</f>
        <v>0</v>
      </c>
      <c r="G63" s="16">
        <f>'[1]2.3'!$C$31</f>
        <v>0</v>
      </c>
      <c r="H63" s="16">
        <f>'[1]2.3'!$C$32</f>
        <v>0</v>
      </c>
      <c r="I63" s="16">
        <f>IF(ISERROR(#REF!/#REF!),0,#REF!/#REF!)</f>
        <v>0</v>
      </c>
    </row>
    <row r="64" spans="1:9" x14ac:dyDescent="0.25">
      <c r="A64" s="14"/>
      <c r="B64" s="30" t="s">
        <v>20</v>
      </c>
      <c r="C64" s="16">
        <v>376.15</v>
      </c>
      <c r="D64" s="16">
        <v>394.1</v>
      </c>
      <c r="E64" s="16">
        <v>376.15</v>
      </c>
      <c r="F64" s="16">
        <f>'[1]2.3'!$D$30</f>
        <v>0</v>
      </c>
      <c r="G64" s="16">
        <f>'[1]2.3'!$D$31</f>
        <v>0</v>
      </c>
      <c r="H64" s="16">
        <f>'[1]2.3'!$D$32</f>
        <v>0</v>
      </c>
      <c r="I64" s="16">
        <f>IF(ISERROR(#REF!/#REF!),0,#REF!/#REF!)</f>
        <v>0</v>
      </c>
    </row>
    <row r="65" spans="1:12" x14ac:dyDescent="0.25">
      <c r="A65" s="14"/>
      <c r="B65" s="30" t="s">
        <v>21</v>
      </c>
      <c r="C65" s="16">
        <v>33.344999999999999</v>
      </c>
      <c r="D65" s="16">
        <v>33.344999999999999</v>
      </c>
      <c r="E65" s="16">
        <f>'[1]2.3'!$E$28</f>
        <v>33.344999999999999</v>
      </c>
      <c r="F65" s="16">
        <f>'[1]2.3'!$E$30</f>
        <v>0</v>
      </c>
      <c r="G65" s="16">
        <f>'[1]2.3'!$E$31</f>
        <v>0</v>
      </c>
      <c r="H65" s="16">
        <f>'[1]2.3'!$E$32</f>
        <v>0</v>
      </c>
      <c r="I65" s="16">
        <f>IF(ISERROR(#REF!/#REF!),0,#REF!/#REF!)</f>
        <v>0</v>
      </c>
    </row>
    <row r="66" spans="1:12" x14ac:dyDescent="0.25">
      <c r="A66" s="26"/>
      <c r="B66" s="33"/>
      <c r="C66" s="22"/>
      <c r="D66" s="12"/>
      <c r="E66" s="12"/>
      <c r="F66" s="12"/>
      <c r="G66" s="12"/>
      <c r="H66" s="12"/>
      <c r="I66" s="12"/>
    </row>
    <row r="67" spans="1:12" x14ac:dyDescent="0.25">
      <c r="A67" s="12"/>
      <c r="B67" s="33"/>
      <c r="C67" s="12"/>
      <c r="D67" s="12"/>
      <c r="E67" s="12"/>
      <c r="F67" s="12"/>
      <c r="G67" s="12"/>
      <c r="H67" s="12"/>
      <c r="I67" s="12"/>
    </row>
    <row r="68" spans="1:12" s="21" customFormat="1" ht="39" customHeight="1" x14ac:dyDescent="0.35">
      <c r="A68" s="20"/>
      <c r="B68" s="47" t="s">
        <v>66</v>
      </c>
      <c r="C68" s="47"/>
      <c r="D68" s="41"/>
      <c r="E68" s="20"/>
      <c r="F68" s="19"/>
      <c r="G68" s="19"/>
      <c r="H68" s="19"/>
      <c r="I68" s="19"/>
      <c r="J68" s="44"/>
      <c r="K68" s="44"/>
      <c r="L68" s="44"/>
    </row>
    <row r="69" spans="1:12" s="21" customFormat="1" ht="21" x14ac:dyDescent="0.35">
      <c r="A69" s="20"/>
      <c r="B69" s="42"/>
      <c r="C69" s="41"/>
      <c r="D69" s="41"/>
      <c r="E69" s="20"/>
      <c r="F69" s="19"/>
      <c r="G69" s="19"/>
      <c r="H69" s="19"/>
      <c r="I69" s="19"/>
      <c r="J69" s="44"/>
      <c r="K69" s="44"/>
      <c r="L69" s="44"/>
    </row>
    <row r="70" spans="1:12" s="21" customFormat="1" ht="21" x14ac:dyDescent="0.35">
      <c r="A70" s="20"/>
      <c r="B70" s="43" t="s">
        <v>67</v>
      </c>
      <c r="C70" s="41"/>
      <c r="D70" s="41"/>
      <c r="E70" s="20"/>
      <c r="F70" s="19"/>
      <c r="G70" s="19"/>
      <c r="H70" s="19"/>
      <c r="I70" s="19"/>
      <c r="J70" s="44"/>
      <c r="K70" s="44"/>
      <c r="L70" s="44"/>
    </row>
    <row r="71" spans="1:12" ht="15" customHeight="1" x14ac:dyDescent="0.25">
      <c r="A71" s="17"/>
      <c r="B71" s="34"/>
      <c r="C71" s="17"/>
      <c r="D71" s="17"/>
      <c r="E71" s="17"/>
      <c r="F71" s="9"/>
      <c r="G71" s="9"/>
      <c r="H71" s="9"/>
      <c r="I71" s="9"/>
    </row>
  </sheetData>
  <protectedRanges>
    <protectedRange sqref="B45:H48 C31:H34 C49:H50 C62:C66 C43:D43 E42:H43 C6:H7 B42:D42 B37:H41 C60:H60 D64:E64 C11:H28" name="Диапазон1"/>
  </protectedRanges>
  <mergeCells count="11">
    <mergeCell ref="A2:I2"/>
    <mergeCell ref="B68:C68"/>
    <mergeCell ref="J6:L6"/>
    <mergeCell ref="J7:L7"/>
    <mergeCell ref="J15:L15"/>
    <mergeCell ref="J16:L16"/>
    <mergeCell ref="J20:L20"/>
    <mergeCell ref="J21:L21"/>
    <mergeCell ref="J24:L24"/>
    <mergeCell ref="J35:L35"/>
    <mergeCell ref="J43:L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  <rowBreaks count="2" manualBreakCount="2">
    <brk id="17" max="16383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2023-08-22T04:26:23Z</dcterms:modified>
</cp:coreProperties>
</file>